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G:\My Drive\ArthAlpha LLP\Duplications\Downloads March\"/>
    </mc:Choice>
  </mc:AlternateContent>
  <xr:revisionPtr revIDLastSave="0" documentId="13_ncr:1_{F1FB9A7E-C1FE-481C-B93C-C6CA840A41B8}" xr6:coauthVersionLast="47" xr6:coauthVersionMax="47" xr10:uidLastSave="{00000000-0000-0000-0000-000000000000}"/>
  <bookViews>
    <workbookView xWindow="-38520" yWindow="-3000" windowWidth="38640" windowHeight="21120" firstSheet="1" activeTab="1" xr2:uid="{00000000-000D-0000-FFFF-FFFF00000000}"/>
  </bookViews>
  <sheets>
    <sheet name="Coffee Can fees" sheetId="1" state="hidden" r:id="rId1"/>
    <sheet name="Hurdle 10%" sheetId="11" r:id="rId2"/>
    <sheet name="Hurdle BSE500" sheetId="8"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1" l="1"/>
  <c r="F10" i="11" s="1"/>
  <c r="G10" i="11" s="1"/>
  <c r="D10" i="11"/>
  <c r="A32" i="11"/>
  <c r="A33" i="11" s="1"/>
  <c r="A34" i="11" s="1"/>
  <c r="A35" i="11" s="1"/>
  <c r="A36" i="11" s="1"/>
  <c r="A37" i="11" s="1"/>
  <c r="C22" i="11"/>
  <c r="C14" i="11"/>
  <c r="D12" i="11"/>
  <c r="E12" i="11" s="1"/>
  <c r="F12" i="11" s="1"/>
  <c r="G12" i="11" s="1"/>
  <c r="A33" i="8"/>
  <c r="A34" i="8" s="1"/>
  <c r="A35" i="8" s="1"/>
  <c r="A36" i="8" s="1"/>
  <c r="A37" i="8" s="1"/>
  <c r="A32" i="8"/>
  <c r="D12" i="8"/>
  <c r="E12" i="8" s="1"/>
  <c r="F12" i="8" s="1"/>
  <c r="G12" i="8" s="1"/>
  <c r="C13" i="8"/>
  <c r="D13" i="8"/>
  <c r="E13" i="8"/>
  <c r="F13" i="8"/>
  <c r="G13" i="8"/>
  <c r="C14" i="8"/>
  <c r="C15" i="8"/>
  <c r="C16" i="8"/>
  <c r="C22" i="8"/>
  <c r="D22" i="8"/>
  <c r="E22" i="8"/>
  <c r="F22" i="8"/>
  <c r="G22" i="8"/>
  <c r="C23" i="8"/>
  <c r="D22" i="11" l="1"/>
  <c r="E22" i="11" s="1"/>
  <c r="F22" i="11" s="1"/>
  <c r="G22" i="11" s="1"/>
  <c r="C23" i="11"/>
  <c r="C15" i="11"/>
  <c r="C16" i="11"/>
  <c r="C17" i="11" s="1"/>
  <c r="C17" i="8"/>
  <c r="C19" i="11" l="1"/>
  <c r="C18" i="11"/>
  <c r="C20" i="11" s="1"/>
  <c r="C21" i="11" s="1"/>
  <c r="C18" i="8"/>
  <c r="C19" i="8"/>
  <c r="C24" i="11" l="1"/>
  <c r="C20" i="8"/>
  <c r="C21" i="8"/>
  <c r="C25" i="11" l="1"/>
  <c r="C27" i="11" s="1"/>
  <c r="C24" i="8"/>
  <c r="C25" i="8" s="1"/>
  <c r="C26" i="8" s="1"/>
  <c r="C26" i="11" l="1"/>
  <c r="C28" i="11"/>
  <c r="D14" i="11"/>
  <c r="C27" i="8"/>
  <c r="D15" i="11" l="1"/>
  <c r="D19" i="11"/>
  <c r="D14" i="8"/>
  <c r="C28" i="8"/>
  <c r="I6" i="1"/>
  <c r="I7" i="1" s="1"/>
  <c r="I8" i="1" s="1"/>
  <c r="I9" i="1" s="1"/>
  <c r="D8" i="1"/>
  <c r="D6" i="1"/>
  <c r="D7" i="1" s="1"/>
  <c r="D16" i="11" l="1"/>
  <c r="D17" i="11" s="1"/>
  <c r="D19" i="8"/>
  <c r="D15" i="8"/>
  <c r="D16" i="8"/>
  <c r="D17" i="8" s="1"/>
  <c r="I10" i="1"/>
  <c r="D9" i="1"/>
  <c r="D18" i="11" l="1"/>
  <c r="D18" i="8"/>
  <c r="D20" i="8" s="1"/>
  <c r="D10" i="1"/>
  <c r="E5" i="1" s="1"/>
  <c r="J5" i="1"/>
  <c r="D20" i="11" l="1"/>
  <c r="D21" i="11" s="1"/>
  <c r="D21" i="8"/>
  <c r="D24" i="8" s="1"/>
  <c r="D25" i="8" s="1"/>
  <c r="D26" i="8" s="1"/>
  <c r="E8" i="1"/>
  <c r="J6" i="1"/>
  <c r="J7" i="1" s="1"/>
  <c r="E6" i="1"/>
  <c r="E7" i="1" s="1"/>
  <c r="D24" i="11" l="1"/>
  <c r="D25" i="11" s="1"/>
  <c r="D26" i="11" s="1"/>
  <c r="D27" i="8"/>
  <c r="J8" i="1"/>
  <c r="J9" i="1" s="1"/>
  <c r="J10" i="1" s="1"/>
  <c r="E9" i="1"/>
  <c r="D27" i="11" l="1"/>
  <c r="D28" i="11" s="1"/>
  <c r="D23" i="11"/>
  <c r="E14" i="11"/>
  <c r="D23" i="8"/>
  <c r="D28" i="8"/>
  <c r="E14" i="8"/>
  <c r="E10" i="1"/>
  <c r="E15" i="11" l="1"/>
  <c r="E16" i="11" s="1"/>
  <c r="E17" i="11" s="1"/>
  <c r="E19" i="11"/>
  <c r="E19" i="8"/>
  <c r="E15" i="8"/>
  <c r="E16" i="8"/>
  <c r="E17" i="8" s="1"/>
  <c r="E18" i="11" l="1"/>
  <c r="E20" i="11" s="1"/>
  <c r="E18" i="8"/>
  <c r="E20" i="8" s="1"/>
  <c r="E21" i="11" l="1"/>
  <c r="E21" i="8"/>
  <c r="E24" i="8" s="1"/>
  <c r="E25" i="8" s="1"/>
  <c r="E26" i="8" s="1"/>
  <c r="E24" i="11" l="1"/>
  <c r="E25" i="11" s="1"/>
  <c r="E26" i="11" s="1"/>
  <c r="E27" i="8"/>
  <c r="E27" i="11" l="1"/>
  <c r="E28" i="11" s="1"/>
  <c r="F14" i="8"/>
  <c r="E23" i="8"/>
  <c r="E28" i="8"/>
  <c r="E23" i="11" l="1"/>
  <c r="F14" i="11"/>
  <c r="F15" i="11" s="1"/>
  <c r="F16" i="11" s="1"/>
  <c r="F17" i="11" s="1"/>
  <c r="F19" i="8"/>
  <c r="F15" i="8"/>
  <c r="F16" i="8" s="1"/>
  <c r="F17" i="8" s="1"/>
  <c r="F19" i="11" l="1"/>
  <c r="F18" i="11"/>
  <c r="F18" i="8"/>
  <c r="F20" i="8" s="1"/>
  <c r="F20" i="11" l="1"/>
  <c r="F21" i="11" s="1"/>
  <c r="F21" i="8"/>
  <c r="F24" i="11" l="1"/>
  <c r="F25" i="11" s="1"/>
  <c r="F26" i="11" s="1"/>
  <c r="F24" i="8"/>
  <c r="F25" i="8" s="1"/>
  <c r="F26" i="8" s="1"/>
  <c r="F27" i="11" l="1"/>
  <c r="F27" i="8"/>
  <c r="F28" i="11" l="1"/>
  <c r="F23" i="11"/>
  <c r="G14" i="11"/>
  <c r="G14" i="8"/>
  <c r="F23" i="8"/>
  <c r="F28" i="8"/>
  <c r="G15" i="11" l="1"/>
  <c r="G19" i="11"/>
  <c r="G19" i="8"/>
  <c r="G15" i="8"/>
  <c r="G16" i="8" s="1"/>
  <c r="G17" i="8" s="1"/>
  <c r="G16" i="11" l="1"/>
  <c r="G17" i="11" s="1"/>
  <c r="G18" i="8"/>
  <c r="G20" i="8" s="1"/>
  <c r="G18" i="11" l="1"/>
  <c r="G21" i="8"/>
  <c r="G24" i="8" s="1"/>
  <c r="G25" i="8" s="1"/>
  <c r="G26" i="8" s="1"/>
  <c r="G20" i="11" l="1"/>
  <c r="G21" i="11" s="1"/>
  <c r="G27" i="8"/>
  <c r="G24" i="11" l="1"/>
  <c r="G25" i="11" s="1"/>
  <c r="G26" i="11" s="1"/>
  <c r="G23" i="8"/>
  <c r="G28" i="8"/>
  <c r="G27" i="11" l="1"/>
  <c r="G28" i="11" s="1"/>
  <c r="G23" i="11" l="1"/>
</calcChain>
</file>

<file path=xl/sharedStrings.xml><?xml version="1.0" encoding="utf-8"?>
<sst xmlns="http://schemas.openxmlformats.org/spreadsheetml/2006/main" count="84" uniqueCount="42">
  <si>
    <t>Profit</t>
  </si>
  <si>
    <t>Year</t>
  </si>
  <si>
    <t>Opening capital</t>
  </si>
  <si>
    <t>Add profit</t>
  </si>
  <si>
    <t>Pre- fees AUM</t>
  </si>
  <si>
    <t>Hurdle AUM</t>
  </si>
  <si>
    <t>Fees</t>
  </si>
  <si>
    <t>Ending AUM</t>
  </si>
  <si>
    <t>Variable</t>
  </si>
  <si>
    <t>Fixed</t>
  </si>
  <si>
    <t>Pree fees AUM</t>
  </si>
  <si>
    <t>Avg. AUM</t>
  </si>
  <si>
    <t>Fees @ 2% of  Avg. AUM</t>
  </si>
  <si>
    <t>Return</t>
  </si>
  <si>
    <t>Less: Brokerage &amp; STT &amp; GST</t>
  </si>
  <si>
    <t>Brokerage + STT (incl. GST) in bps</t>
  </si>
  <si>
    <t>Total Fees</t>
  </si>
  <si>
    <t>Other Expenses  in bps</t>
  </si>
  <si>
    <t xml:space="preserve">Capital Contributed / Assets under Management </t>
  </si>
  <si>
    <t xml:space="preserve">Gross Value of the Portfolio at the end of the year </t>
  </si>
  <si>
    <t>Less: Other Expenses</t>
  </si>
  <si>
    <t>Management Fee (%age per annum)</t>
  </si>
  <si>
    <t>Performance fee</t>
  </si>
  <si>
    <t>Gross Value of the Portfolio before Performance fee</t>
  </si>
  <si>
    <t>Portfolio return subject of Performance Fee</t>
  </si>
  <si>
    <t>Intial Capital Contribution</t>
  </si>
  <si>
    <t>Assumptions</t>
  </si>
  <si>
    <t xml:space="preserve">Daily Weighted Average assets under management </t>
  </si>
  <si>
    <t>Less: Management Fees</t>
  </si>
  <si>
    <t>Performance Fee</t>
  </si>
  <si>
    <t>% Portfolio return</t>
  </si>
  <si>
    <t>Fee Calculator</t>
  </si>
  <si>
    <t>High Watermark</t>
  </si>
  <si>
    <t>Hurdle Rate of Return BSE 500 (%age per annum)</t>
  </si>
  <si>
    <t>Notes</t>
  </si>
  <si>
    <t>Returns are assumed to be generated linearly through the year.</t>
  </si>
  <si>
    <t>This is only a generic illustration, fees and charges shall be levied as per the terms and condition of their PMS agreement.</t>
  </si>
  <si>
    <t>All Fees and charges are subject to GST &amp; applicable taxes</t>
  </si>
  <si>
    <t>Other  expenses include Account opening fee, Franking notarization, Stamp duty, Custodian fee, Fund accounting charges, registrar and transfer agent fee, depository charges, stamp duty, audit fee, Bank charges legal and professional cost and incidental other miscellaneous expenses, as stated in PMS Agreement and are charged on daily average AUM or at actuals as applicable. Here in fee calculator it is charged on Average AUM and considered as 7 bps, however it will be charged as per PMS Agreement and will be upto 0.5% of AUM</t>
  </si>
  <si>
    <t>Brokerage and transaction cost for the illustration purpose is charged on the Average AUM. However, Brokerage and Transaction cost are charged on basis the actuals trades.</t>
  </si>
  <si>
    <t xml:space="preserve">High Watermark (Pre-Fees) shall mean the higher of either ‘corpus investment value’ or ‘highest NAV (after charging Performance Fee)’ on which client has paid a Performance Fee to the Portfolio Manager’. </t>
  </si>
  <si>
    <t>Hurdle AUM is computed by multiplying the hurdle rate with the initial corpus compounded every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</si>
</sst>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_);_(* \(#,##0\);_(* &quot;-&quot;??_);_(@_)"/>
    <numFmt numFmtId="166" formatCode="0.0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164" fontId="2" fillId="0" borderId="0" applyFont="0" applyFill="0" applyBorder="0" applyAlignment="0" applyProtection="0"/>
    <xf numFmtId="43" fontId="2" fillId="0" borderId="0" applyFont="0" applyFill="0" applyBorder="0" applyAlignment="0" applyProtection="0"/>
  </cellStyleXfs>
  <cellXfs count="47">
    <xf numFmtId="0" fontId="0" fillId="0" borderId="0" xfId="0"/>
    <xf numFmtId="0" fontId="1" fillId="0" borderId="1" xfId="0" applyFont="1" applyBorder="1"/>
    <xf numFmtId="9" fontId="1" fillId="0" borderId="1" xfId="0" applyNumberFormat="1" applyFont="1" applyBorder="1"/>
    <xf numFmtId="0" fontId="1" fillId="0" borderId="0" xfId="0" applyFont="1"/>
    <xf numFmtId="0" fontId="0" fillId="0" borderId="1" xfId="0" applyBorder="1"/>
    <xf numFmtId="10" fontId="1" fillId="0" borderId="1" xfId="0" applyNumberFormat="1" applyFont="1" applyBorder="1"/>
    <xf numFmtId="4" fontId="3" fillId="0" borderId="1" xfId="0" applyNumberFormat="1" applyFont="1" applyBorder="1"/>
    <xf numFmtId="0" fontId="3" fillId="0" borderId="0" xfId="0" applyFont="1"/>
    <xf numFmtId="0" fontId="3" fillId="0" borderId="0" xfId="0" applyFont="1" applyAlignment="1">
      <alignment vertical="center" wrapText="1"/>
    </xf>
    <xf numFmtId="165" fontId="3" fillId="0" borderId="0" xfId="1" applyNumberFormat="1" applyFont="1" applyFill="1" applyBorder="1"/>
    <xf numFmtId="4" fontId="3" fillId="0" borderId="1" xfId="1" applyNumberFormat="1" applyFont="1" applyFill="1" applyBorder="1"/>
    <xf numFmtId="4" fontId="3" fillId="0" borderId="0" xfId="0" applyNumberFormat="1" applyFont="1"/>
    <xf numFmtId="4" fontId="3" fillId="0" borderId="7" xfId="1" applyNumberFormat="1" applyFont="1" applyFill="1" applyBorder="1"/>
    <xf numFmtId="10" fontId="3" fillId="0" borderId="7" xfId="0" applyNumberFormat="1" applyFont="1" applyBorder="1"/>
    <xf numFmtId="4" fontId="3" fillId="0" borderId="7" xfId="0" applyNumberFormat="1" applyFont="1" applyBorder="1"/>
    <xf numFmtId="166" fontId="3" fillId="0" borderId="9" xfId="0" applyNumberFormat="1" applyFont="1" applyBorder="1"/>
    <xf numFmtId="166" fontId="3" fillId="0" borderId="10" xfId="0" applyNumberFormat="1" applyFont="1" applyBorder="1"/>
    <xf numFmtId="4" fontId="3" fillId="0" borderId="2" xfId="1" applyNumberFormat="1" applyFont="1" applyFill="1" applyBorder="1"/>
    <xf numFmtId="4" fontId="3" fillId="0" borderId="12" xfId="1" applyNumberFormat="1" applyFont="1" applyFill="1" applyBorder="1"/>
    <xf numFmtId="4" fontId="3" fillId="0" borderId="5" xfId="0" applyNumberFormat="1" applyFont="1" applyBorder="1"/>
    <xf numFmtId="165" fontId="3" fillId="0" borderId="10" xfId="1" applyNumberFormat="1" applyFont="1" applyFill="1" applyBorder="1"/>
    <xf numFmtId="9" fontId="3" fillId="0" borderId="7" xfId="0" applyNumberFormat="1" applyFont="1" applyBorder="1"/>
    <xf numFmtId="165" fontId="3" fillId="0" borderId="7" xfId="1" applyNumberFormat="1" applyFont="1" applyFill="1" applyBorder="1"/>
    <xf numFmtId="165" fontId="3" fillId="0" borderId="14" xfId="1" applyNumberFormat="1" applyFont="1" applyFill="1" applyBorder="1"/>
    <xf numFmtId="9" fontId="3" fillId="0" borderId="16" xfId="0" applyNumberFormat="1" applyFont="1" applyBorder="1"/>
    <xf numFmtId="9" fontId="3" fillId="0" borderId="17" xfId="0" applyNumberFormat="1" applyFont="1" applyBorder="1"/>
    <xf numFmtId="0" fontId="4" fillId="0" borderId="6" xfId="0" applyFont="1" applyBorder="1"/>
    <xf numFmtId="4" fontId="4" fillId="0" borderId="1" xfId="1" applyNumberFormat="1" applyFont="1" applyFill="1" applyBorder="1"/>
    <xf numFmtId="4" fontId="4" fillId="0" borderId="7" xfId="1" applyNumberFormat="1" applyFont="1" applyFill="1" applyBorder="1"/>
    <xf numFmtId="0" fontId="4" fillId="0" borderId="3" xfId="0" applyFont="1" applyBorder="1"/>
    <xf numFmtId="0" fontId="4" fillId="0" borderId="4" xfId="0" applyFont="1" applyBorder="1"/>
    <xf numFmtId="0" fontId="4" fillId="0" borderId="5" xfId="0" applyFont="1" applyBorder="1"/>
    <xf numFmtId="0" fontId="4" fillId="0" borderId="8" xfId="0" applyFont="1" applyBorder="1"/>
    <xf numFmtId="10" fontId="4" fillId="0" borderId="9" xfId="0" applyNumberFormat="1" applyFont="1" applyBorder="1"/>
    <xf numFmtId="10" fontId="4" fillId="0" borderId="10" xfId="0" applyNumberFormat="1" applyFont="1" applyBorder="1"/>
    <xf numFmtId="0" fontId="4" fillId="0" borderId="6" xfId="0" applyFont="1" applyBorder="1" applyAlignment="1">
      <alignment vertical="center" wrapText="1"/>
    </xf>
    <xf numFmtId="0" fontId="4" fillId="0" borderId="13" xfId="0" applyFont="1" applyBorder="1"/>
    <xf numFmtId="0" fontId="4" fillId="0" borderId="15" xfId="0" applyFont="1" applyBorder="1"/>
    <xf numFmtId="0" fontId="4" fillId="0" borderId="11" xfId="0" applyFont="1" applyBorder="1"/>
    <xf numFmtId="0" fontId="4" fillId="0" borderId="6" xfId="0" applyFont="1" applyBorder="1" applyAlignment="1">
      <alignment wrapText="1"/>
    </xf>
    <xf numFmtId="0" fontId="4" fillId="0" borderId="21" xfId="0" applyFont="1" applyBorder="1" applyAlignment="1">
      <alignment horizontal="center"/>
    </xf>
    <xf numFmtId="0" fontId="4" fillId="0" borderId="0" xfId="0" applyFont="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0" fontId="3" fillId="0" borderId="9" xfId="0" applyNumberFormat="1" applyFont="1" applyBorder="1"/>
    <xf numFmtId="10" fontId="3" fillId="0" borderId="10" xfId="0" applyNumberFormat="1" applyFont="1" applyBorder="1"/>
  </cellXfs>
  <cellStyles count="3">
    <cellStyle name="Comma" xfId="1" builtinId="3"/>
    <cellStyle name="Comma 2" xfId="2" xr:uid="{DE880B93-73DA-4B3A-B8E4-725488942FA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
  <sheetViews>
    <sheetView workbookViewId="0">
      <selection activeCell="A7" sqref="A7"/>
    </sheetView>
  </sheetViews>
  <sheetFormatPr defaultColWidth="8.85546875" defaultRowHeight="15" x14ac:dyDescent="0.25"/>
  <cols>
    <col min="3" max="3" width="15" bestFit="1" customWidth="1"/>
    <col min="8" max="8" width="22.85546875" bestFit="1" customWidth="1"/>
  </cols>
  <sheetData>
    <row r="2" spans="3:10" x14ac:dyDescent="0.25">
      <c r="C2" s="3" t="s">
        <v>8</v>
      </c>
      <c r="H2" s="3" t="s">
        <v>9</v>
      </c>
    </row>
    <row r="3" spans="3:10" s="3" customFormat="1" x14ac:dyDescent="0.25">
      <c r="C3" s="1" t="s">
        <v>0</v>
      </c>
      <c r="D3" s="2">
        <v>0.2</v>
      </c>
      <c r="E3" s="5">
        <v>0.22500000000000001</v>
      </c>
      <c r="H3" s="1" t="s">
        <v>0</v>
      </c>
      <c r="I3" s="2">
        <v>0.05</v>
      </c>
      <c r="J3" s="2">
        <v>0.25</v>
      </c>
    </row>
    <row r="4" spans="3:10" s="3" customFormat="1" x14ac:dyDescent="0.25">
      <c r="C4" s="1" t="s">
        <v>1</v>
      </c>
      <c r="D4" s="1">
        <v>1</v>
      </c>
      <c r="E4" s="1">
        <v>2</v>
      </c>
      <c r="H4" s="1" t="s">
        <v>1</v>
      </c>
      <c r="I4" s="1">
        <v>1</v>
      </c>
      <c r="J4" s="1">
        <v>2</v>
      </c>
    </row>
    <row r="5" spans="3:10" x14ac:dyDescent="0.25">
      <c r="C5" s="4" t="s">
        <v>2</v>
      </c>
      <c r="D5" s="4">
        <v>100</v>
      </c>
      <c r="E5" s="4">
        <f>+D10</f>
        <v>117.6</v>
      </c>
      <c r="H5" s="4" t="s">
        <v>2</v>
      </c>
      <c r="I5" s="4">
        <v>100</v>
      </c>
      <c r="J5" s="4">
        <f>+I10</f>
        <v>102.95</v>
      </c>
    </row>
    <row r="6" spans="3:10" x14ac:dyDescent="0.25">
      <c r="C6" s="4" t="s">
        <v>3</v>
      </c>
      <c r="D6" s="4">
        <f>+D5*D3</f>
        <v>20</v>
      </c>
      <c r="E6" s="4">
        <f>+E5*E3</f>
        <v>26.46</v>
      </c>
      <c r="H6" s="4" t="s">
        <v>3</v>
      </c>
      <c r="I6" s="4">
        <f>+I5*I3</f>
        <v>5</v>
      </c>
      <c r="J6" s="4">
        <f>+J5*J3</f>
        <v>25.737500000000001</v>
      </c>
    </row>
    <row r="7" spans="3:10" x14ac:dyDescent="0.25">
      <c r="C7" s="4" t="s">
        <v>4</v>
      </c>
      <c r="D7" s="4">
        <f>SUM(D5:D6)</f>
        <v>120</v>
      </c>
      <c r="E7" s="4">
        <f>SUM(E5:E6)</f>
        <v>144.06</v>
      </c>
      <c r="H7" s="4" t="s">
        <v>10</v>
      </c>
      <c r="I7" s="4">
        <f>+I5+I6</f>
        <v>105</v>
      </c>
      <c r="J7" s="4">
        <f>+J5+J6</f>
        <v>128.6875</v>
      </c>
    </row>
    <row r="8" spans="3:10" x14ac:dyDescent="0.25">
      <c r="C8" s="4" t="s">
        <v>5</v>
      </c>
      <c r="D8" s="4">
        <f>+D5*1.08</f>
        <v>108</v>
      </c>
      <c r="E8" s="4">
        <f>+MAX(D8,D10)*1.08</f>
        <v>127.008</v>
      </c>
      <c r="H8" s="4" t="s">
        <v>11</v>
      </c>
      <c r="I8" s="4">
        <f>+(I7+I5)/2</f>
        <v>102.5</v>
      </c>
      <c r="J8" s="4">
        <f>+(J7+J5)/2</f>
        <v>115.81874999999999</v>
      </c>
    </row>
    <row r="9" spans="3:10" s="3" customFormat="1" x14ac:dyDescent="0.25">
      <c r="C9" s="1" t="s">
        <v>6</v>
      </c>
      <c r="D9" s="1">
        <f>+MAX(D7-D8,0)*0.2</f>
        <v>2.4000000000000004</v>
      </c>
      <c r="E9" s="1">
        <f>+MAX(E7-E8,0)*0.2</f>
        <v>3.4104000000000014</v>
      </c>
      <c r="H9" s="1" t="s">
        <v>12</v>
      </c>
      <c r="I9" s="1">
        <f>+I8*0.02</f>
        <v>2.0499999999999998</v>
      </c>
      <c r="J9" s="1">
        <f>+J8*0.02</f>
        <v>2.3163749999999999</v>
      </c>
    </row>
    <row r="10" spans="3:10" x14ac:dyDescent="0.25">
      <c r="C10" s="4" t="s">
        <v>7</v>
      </c>
      <c r="D10" s="4">
        <f>+D7-D9</f>
        <v>117.6</v>
      </c>
      <c r="E10" s="4">
        <f>+E7-E9</f>
        <v>140.64959999999999</v>
      </c>
      <c r="H10" s="4" t="s">
        <v>7</v>
      </c>
      <c r="I10" s="4">
        <f>+I7-I9</f>
        <v>102.95</v>
      </c>
      <c r="J10" s="4">
        <f>+J7-J9</f>
        <v>126.37112500000001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2F7D-48F1-472F-A56D-ECCD0B44003D}">
  <dimension ref="A1:N37"/>
  <sheetViews>
    <sheetView showGridLines="0" tabSelected="1" zoomScaleNormal="100" workbookViewId="0">
      <selection activeCell="K14" sqref="K14"/>
    </sheetView>
  </sheetViews>
  <sheetFormatPr defaultColWidth="9.140625" defaultRowHeight="15" x14ac:dyDescent="0.25"/>
  <cols>
    <col min="1" max="1" width="9.140625" style="7"/>
    <col min="2" max="2" width="48.5703125" style="7" bestFit="1" customWidth="1"/>
    <col min="3" max="5" width="11.7109375" style="7" bestFit="1" customWidth="1"/>
    <col min="6" max="7" width="13.42578125" style="7" bestFit="1" customWidth="1"/>
    <col min="8" max="8" width="9.140625" style="7"/>
    <col min="9" max="9" width="13.85546875" style="7" bestFit="1" customWidth="1"/>
    <col min="10" max="10" width="14.28515625" style="7" bestFit="1" customWidth="1"/>
    <col min="11" max="11" width="12.5703125" style="7" bestFit="1" customWidth="1"/>
    <col min="12" max="12" width="9.140625" style="7"/>
    <col min="15" max="16384" width="9.140625" style="7"/>
  </cols>
  <sheetData>
    <row r="1" spans="2:14" ht="15.75" thickBot="1" x14ac:dyDescent="0.3">
      <c r="B1" s="42" t="s">
        <v>31</v>
      </c>
      <c r="C1" s="43"/>
      <c r="D1" s="43"/>
      <c r="E1" s="43"/>
      <c r="F1" s="43"/>
      <c r="G1" s="44"/>
      <c r="M1" s="7"/>
      <c r="N1" s="7"/>
    </row>
    <row r="2" spans="2:14" ht="15.75" thickBot="1" x14ac:dyDescent="0.3">
      <c r="B2" s="40"/>
      <c r="C2" s="41"/>
      <c r="D2" s="41"/>
      <c r="E2" s="41"/>
      <c r="F2" s="41"/>
      <c r="G2" s="41"/>
      <c r="M2" s="7"/>
      <c r="N2" s="7"/>
    </row>
    <row r="3" spans="2:14" ht="15.75" thickBot="1" x14ac:dyDescent="0.3">
      <c r="B3" s="42" t="s">
        <v>26</v>
      </c>
      <c r="C3" s="44"/>
      <c r="M3" s="7"/>
      <c r="N3" s="7"/>
    </row>
    <row r="4" spans="2:14" x14ac:dyDescent="0.25">
      <c r="B4" s="29" t="s">
        <v>25</v>
      </c>
      <c r="C4" s="19">
        <v>5000000</v>
      </c>
      <c r="M4" s="7"/>
      <c r="N4" s="7"/>
    </row>
    <row r="5" spans="2:14" ht="14.45" customHeight="1" x14ac:dyDescent="0.25">
      <c r="B5" s="26" t="s">
        <v>21</v>
      </c>
      <c r="C5" s="13">
        <v>1.4999999999999999E-2</v>
      </c>
      <c r="D5" s="8"/>
      <c r="E5" s="8"/>
      <c r="F5" s="8"/>
      <c r="G5" s="8"/>
      <c r="M5" s="7"/>
      <c r="N5" s="7"/>
    </row>
    <row r="6" spans="2:14" x14ac:dyDescent="0.25">
      <c r="B6" s="35" t="s">
        <v>22</v>
      </c>
      <c r="C6" s="21">
        <v>0.15</v>
      </c>
      <c r="D6" s="8"/>
      <c r="E6" s="8"/>
      <c r="F6" s="8"/>
      <c r="G6" s="8"/>
      <c r="M6" s="7"/>
      <c r="N6" s="7"/>
    </row>
    <row r="7" spans="2:14" x14ac:dyDescent="0.25">
      <c r="B7" s="26" t="s">
        <v>15</v>
      </c>
      <c r="C7" s="22">
        <v>15</v>
      </c>
      <c r="M7" s="7"/>
      <c r="N7" s="7"/>
    </row>
    <row r="8" spans="2:14" ht="15.75" thickBot="1" x14ac:dyDescent="0.3">
      <c r="B8" s="32" t="s">
        <v>17</v>
      </c>
      <c r="C8" s="20">
        <v>10</v>
      </c>
      <c r="M8" s="7"/>
      <c r="N8" s="7"/>
    </row>
    <row r="9" spans="2:14" ht="15.75" thickBot="1" x14ac:dyDescent="0.3">
      <c r="B9" s="36"/>
      <c r="C9" s="23"/>
      <c r="M9" s="7"/>
      <c r="N9" s="7"/>
    </row>
    <row r="10" spans="2:14" ht="15.75" thickBot="1" x14ac:dyDescent="0.3">
      <c r="B10" s="37" t="s">
        <v>33</v>
      </c>
      <c r="C10" s="24">
        <v>0.1</v>
      </c>
      <c r="D10" s="24">
        <f>+C10</f>
        <v>0.1</v>
      </c>
      <c r="E10" s="24">
        <f t="shared" ref="E10:G10" si="0">+D10</f>
        <v>0.1</v>
      </c>
      <c r="F10" s="24">
        <f t="shared" si="0"/>
        <v>0.1</v>
      </c>
      <c r="G10" s="25">
        <f t="shared" si="0"/>
        <v>0.1</v>
      </c>
      <c r="M10" s="7"/>
      <c r="N10" s="7"/>
    </row>
    <row r="11" spans="2:14" ht="15.75" thickBot="1" x14ac:dyDescent="0.3">
      <c r="C11" s="9"/>
      <c r="M11" s="7"/>
      <c r="N11" s="7"/>
    </row>
    <row r="12" spans="2:14" x14ac:dyDescent="0.25">
      <c r="B12" s="29" t="s">
        <v>1</v>
      </c>
      <c r="C12" s="30">
        <v>1</v>
      </c>
      <c r="D12" s="30">
        <f>+C12+1</f>
        <v>2</v>
      </c>
      <c r="E12" s="30">
        <f t="shared" ref="E12:G12" si="1">+D12+1</f>
        <v>3</v>
      </c>
      <c r="F12" s="30">
        <f t="shared" si="1"/>
        <v>4</v>
      </c>
      <c r="G12" s="31">
        <f t="shared" si="1"/>
        <v>5</v>
      </c>
      <c r="M12" s="7"/>
      <c r="N12" s="7"/>
    </row>
    <row r="13" spans="2:14" ht="15.75" thickBot="1" x14ac:dyDescent="0.3">
      <c r="B13" s="32" t="s">
        <v>13</v>
      </c>
      <c r="C13" s="33">
        <v>-0.17810000000000001</v>
      </c>
      <c r="D13" s="33">
        <v>0.92699999999999994</v>
      </c>
      <c r="E13" s="33">
        <v>0.29259999999999997</v>
      </c>
      <c r="F13" s="33">
        <v>6.4900000000000013E-2</v>
      </c>
      <c r="G13" s="34">
        <v>0.47950000000000004</v>
      </c>
      <c r="M13" s="7"/>
      <c r="N13" s="7"/>
    </row>
    <row r="14" spans="2:14" x14ac:dyDescent="0.25">
      <c r="B14" s="38" t="s">
        <v>18</v>
      </c>
      <c r="C14" s="17">
        <f>C4</f>
        <v>5000000</v>
      </c>
      <c r="D14" s="17">
        <f>+C27</f>
        <v>4029962.6781250001</v>
      </c>
      <c r="E14" s="17">
        <f t="shared" ref="E14:G14" si="2">+D27</f>
        <v>7422398.7271995014</v>
      </c>
      <c r="F14" s="17">
        <f t="shared" si="2"/>
        <v>9233792.9858160913</v>
      </c>
      <c r="G14" s="18">
        <f t="shared" si="2"/>
        <v>9666883.7787944153</v>
      </c>
      <c r="J14" s="11"/>
      <c r="M14" s="7"/>
      <c r="N14" s="7"/>
    </row>
    <row r="15" spans="2:14" x14ac:dyDescent="0.25">
      <c r="B15" s="26" t="s">
        <v>3</v>
      </c>
      <c r="C15" s="10">
        <f>+C14*C13</f>
        <v>-890500</v>
      </c>
      <c r="D15" s="10">
        <f>+D14*D13</f>
        <v>3735775.4026218751</v>
      </c>
      <c r="E15" s="10">
        <f>+E14*E13</f>
        <v>2171793.867578574</v>
      </c>
      <c r="F15" s="10">
        <f>+F14*F13</f>
        <v>599273.16477946448</v>
      </c>
      <c r="G15" s="12">
        <f>+G14*G13</f>
        <v>4635270.7719319221</v>
      </c>
      <c r="J15" s="11"/>
      <c r="M15" s="7"/>
      <c r="N15" s="7"/>
    </row>
    <row r="16" spans="2:14" x14ac:dyDescent="0.25">
      <c r="B16" s="26" t="s">
        <v>19</v>
      </c>
      <c r="C16" s="10">
        <f>SUM(C14:C15)</f>
        <v>4109500</v>
      </c>
      <c r="D16" s="10">
        <f t="shared" ref="D16:G16" si="3">SUM(D14:D15)</f>
        <v>7765738.0807468751</v>
      </c>
      <c r="E16" s="10">
        <f t="shared" si="3"/>
        <v>9594192.5947780758</v>
      </c>
      <c r="F16" s="10">
        <f t="shared" si="3"/>
        <v>9833066.1505955551</v>
      </c>
      <c r="G16" s="12">
        <f t="shared" si="3"/>
        <v>14302154.550726337</v>
      </c>
      <c r="J16" s="11"/>
      <c r="M16" s="7"/>
      <c r="N16" s="7"/>
    </row>
    <row r="17" spans="1:14" x14ac:dyDescent="0.25">
      <c r="B17" s="35" t="s">
        <v>27</v>
      </c>
      <c r="C17" s="10">
        <f>AVERAGE(C14,C16)</f>
        <v>4554750</v>
      </c>
      <c r="D17" s="10">
        <f>AVERAGE(D14,D16)</f>
        <v>5897850.3794359379</v>
      </c>
      <c r="E17" s="10">
        <f>AVERAGE(E14,E16)</f>
        <v>8508295.6609887891</v>
      </c>
      <c r="F17" s="10">
        <f>AVERAGE(F14,F16)</f>
        <v>9533429.5682058223</v>
      </c>
      <c r="G17" s="12">
        <f>AVERAGE(G14,G16)</f>
        <v>11984519.164760377</v>
      </c>
      <c r="J17" s="11"/>
      <c r="M17" s="7"/>
      <c r="N17" s="7"/>
    </row>
    <row r="18" spans="1:14" x14ac:dyDescent="0.25">
      <c r="B18" s="26" t="s">
        <v>14</v>
      </c>
      <c r="C18" s="10">
        <f t="shared" ref="C18:G18" si="4">C17*$C$7/10000</f>
        <v>6832.125</v>
      </c>
      <c r="D18" s="10">
        <f t="shared" si="4"/>
        <v>8846.775569153906</v>
      </c>
      <c r="E18" s="10">
        <f t="shared" si="4"/>
        <v>12762.443491483184</v>
      </c>
      <c r="F18" s="10">
        <f t="shared" si="4"/>
        <v>14300.144352308733</v>
      </c>
      <c r="G18" s="12">
        <f t="shared" si="4"/>
        <v>17976.778747140565</v>
      </c>
      <c r="J18" s="11"/>
      <c r="M18" s="7"/>
      <c r="N18" s="7"/>
    </row>
    <row r="19" spans="1:14" x14ac:dyDescent="0.25">
      <c r="B19" s="26" t="s">
        <v>20</v>
      </c>
      <c r="C19" s="10">
        <f>C17*$C$8/10000</f>
        <v>4554.75</v>
      </c>
      <c r="D19" s="10">
        <f>D14*$C$8/10000</f>
        <v>4029.9626781249999</v>
      </c>
      <c r="E19" s="10">
        <f>E14*$C$8/10000</f>
        <v>7422.3987271995011</v>
      </c>
      <c r="F19" s="10">
        <f>F14*$C$8/10000</f>
        <v>9233.7929858160915</v>
      </c>
      <c r="G19" s="12">
        <f>G14*$C$8/10000</f>
        <v>9666.8837787944158</v>
      </c>
      <c r="J19" s="11"/>
      <c r="M19" s="7"/>
      <c r="N19" s="7"/>
    </row>
    <row r="20" spans="1:14" x14ac:dyDescent="0.25">
      <c r="B20" s="26" t="s">
        <v>28</v>
      </c>
      <c r="C20" s="27">
        <f>(C17-C18-C19)*$C$5</f>
        <v>68150.446874999994</v>
      </c>
      <c r="D20" s="27">
        <f t="shared" ref="D20:G20" si="5">(D17-D18-D19)*$C$5</f>
        <v>88274.604617829871</v>
      </c>
      <c r="E20" s="27">
        <f t="shared" si="5"/>
        <v>127321.6622815516</v>
      </c>
      <c r="F20" s="27">
        <f t="shared" si="5"/>
        <v>142648.43446301547</v>
      </c>
      <c r="G20" s="28">
        <f t="shared" si="5"/>
        <v>179353.13253351662</v>
      </c>
      <c r="M20" s="7"/>
      <c r="N20" s="7"/>
    </row>
    <row r="21" spans="1:14" x14ac:dyDescent="0.25">
      <c r="B21" s="39" t="s">
        <v>23</v>
      </c>
      <c r="C21" s="10">
        <f>SUM(C14:C15)-SUM(C18:C20)</f>
        <v>4029962.6781250001</v>
      </c>
      <c r="D21" s="10">
        <f>SUM(D14:D15)-SUM(D18:D20)</f>
        <v>7664586.7378817666</v>
      </c>
      <c r="E21" s="10">
        <f>SUM(E14:E15)-SUM(E18:E20)</f>
        <v>9446686.0902778413</v>
      </c>
      <c r="F21" s="10">
        <f>SUM(F14:F15)-SUM(F18:F20)</f>
        <v>9666883.7787944153</v>
      </c>
      <c r="G21" s="12">
        <f>SUM(G14:G15)-SUM(G18:G20)</f>
        <v>14095157.755666886</v>
      </c>
      <c r="M21" s="7"/>
      <c r="N21" s="7"/>
    </row>
    <row r="22" spans="1:14" x14ac:dyDescent="0.25">
      <c r="B22" s="26" t="s">
        <v>5</v>
      </c>
      <c r="C22" s="10">
        <f>C4*(1+C$10)</f>
        <v>5500000</v>
      </c>
      <c r="D22" s="10">
        <f>C22*(1+D$10)</f>
        <v>6050000.0000000009</v>
      </c>
      <c r="E22" s="10">
        <f>D22*(1+E$10)</f>
        <v>6655000.0000000019</v>
      </c>
      <c r="F22" s="10">
        <f>E22*(1+F$10)</f>
        <v>7320500.0000000028</v>
      </c>
      <c r="G22" s="12">
        <f>F22*(1+G$10)</f>
        <v>8052550.0000000037</v>
      </c>
      <c r="M22" s="7"/>
      <c r="N22" s="7"/>
    </row>
    <row r="23" spans="1:14" x14ac:dyDescent="0.25">
      <c r="B23" s="26" t="s">
        <v>32</v>
      </c>
      <c r="C23" s="6">
        <f>MAX(C14,C22)</f>
        <v>5500000</v>
      </c>
      <c r="D23" s="6">
        <f>MAX(D27,C23)</f>
        <v>7422398.7271995014</v>
      </c>
      <c r="E23" s="6">
        <f>MAX(E27,D23)</f>
        <v>9233792.9858160913</v>
      </c>
      <c r="F23" s="6">
        <f>MAX(F27,E23)</f>
        <v>9666883.7787944153</v>
      </c>
      <c r="G23" s="14">
        <f>MAX(G27,F23)</f>
        <v>13575585.540189266</v>
      </c>
      <c r="M23" s="7"/>
      <c r="N23" s="7"/>
    </row>
    <row r="24" spans="1:14" x14ac:dyDescent="0.25">
      <c r="B24" s="26" t="s">
        <v>24</v>
      </c>
      <c r="C24" s="10">
        <f>+MAX(C21-C22,0)</f>
        <v>0</v>
      </c>
      <c r="D24" s="10">
        <f>+D21-D22+C25</f>
        <v>1614586.7378817657</v>
      </c>
      <c r="E24" s="10">
        <f>+E21-E22+SUM($C$25:D25)</f>
        <v>3033874.1009601043</v>
      </c>
      <c r="F24" s="10">
        <f>+F21-F22+SUM($C$25:E25)</f>
        <v>2801464.8939384283</v>
      </c>
      <c r="G24" s="12">
        <f>+G21-G22+SUM($C$25:F25)</f>
        <v>6497688.8708108971</v>
      </c>
      <c r="I24" s="11"/>
      <c r="K24" s="11"/>
      <c r="M24" s="7"/>
      <c r="N24" s="7"/>
    </row>
    <row r="25" spans="1:14" x14ac:dyDescent="0.25">
      <c r="B25" s="26" t="s">
        <v>29</v>
      </c>
      <c r="C25" s="27">
        <f>+MAX(MIN(C24*C6,MAX(C21-C14,0)),0)</f>
        <v>0</v>
      </c>
      <c r="D25" s="27">
        <f>+MAX(MIN(D24*$C$6-SUM($C$25:C25),MAX(D21-C23,0)),0)</f>
        <v>242188.01068226484</v>
      </c>
      <c r="E25" s="27">
        <f>+MAX(MIN(E24*$C$6-SUM($C$25:D25),MAX(E21-D23,0)),0)</f>
        <v>212893.1044617508</v>
      </c>
      <c r="F25" s="27">
        <f>+MAX(MIN(F24*$C$6-SUM($C$25:E25),MAX(F21-E23,0)),0)</f>
        <v>0</v>
      </c>
      <c r="G25" s="28">
        <f>+MAX(MIN(G24*$C$6-SUM($C$25:F25),MAX(G21-F23,0)),0)</f>
        <v>519572.21547761885</v>
      </c>
      <c r="I25" s="11"/>
      <c r="K25" s="11"/>
      <c r="M25" s="7"/>
      <c r="N25" s="7"/>
    </row>
    <row r="26" spans="1:14" x14ac:dyDescent="0.25">
      <c r="B26" s="26" t="s">
        <v>16</v>
      </c>
      <c r="C26" s="27">
        <f>C25+C20</f>
        <v>68150.446874999994</v>
      </c>
      <c r="D26" s="27">
        <f>D25+D20</f>
        <v>330462.61530009471</v>
      </c>
      <c r="E26" s="27">
        <f>E25+E20</f>
        <v>340214.7667433024</v>
      </c>
      <c r="F26" s="27">
        <f>F25+F20</f>
        <v>142648.43446301547</v>
      </c>
      <c r="G26" s="28">
        <f>G25+G20</f>
        <v>698925.34801113547</v>
      </c>
      <c r="I26" s="11"/>
      <c r="M26" s="7"/>
      <c r="N26" s="7"/>
    </row>
    <row r="27" spans="1:14" x14ac:dyDescent="0.25">
      <c r="B27" s="26" t="s">
        <v>7</v>
      </c>
      <c r="C27" s="10">
        <f>+C21-C25</f>
        <v>4029962.6781250001</v>
      </c>
      <c r="D27" s="10">
        <f>+D21-D25</f>
        <v>7422398.7271995014</v>
      </c>
      <c r="E27" s="10">
        <f>+E21-E25</f>
        <v>9233792.9858160913</v>
      </c>
      <c r="F27" s="10">
        <f>+F21-F25</f>
        <v>9666883.7787944153</v>
      </c>
      <c r="G27" s="12">
        <f>+G21-G25</f>
        <v>13575585.540189266</v>
      </c>
      <c r="I27" s="11"/>
      <c r="M27" s="7"/>
      <c r="N27" s="7"/>
    </row>
    <row r="28" spans="1:14" ht="15.75" thickBot="1" x14ac:dyDescent="0.3">
      <c r="B28" s="32" t="s">
        <v>30</v>
      </c>
      <c r="C28" s="45">
        <f>+C27/C14-1</f>
        <v>-0.19400746437499994</v>
      </c>
      <c r="D28" s="45">
        <f>+D27/D14-1</f>
        <v>0.84180334162620141</v>
      </c>
      <c r="E28" s="45">
        <f>+E27/E14-1</f>
        <v>0.24404432114091446</v>
      </c>
      <c r="F28" s="45">
        <f>+F27/F14-1</f>
        <v>4.6902805125000002E-2</v>
      </c>
      <c r="G28" s="46">
        <f>+G27/G14-1</f>
        <v>0.40433937666335695</v>
      </c>
      <c r="I28" s="11"/>
      <c r="M28" s="7"/>
      <c r="N28" s="7"/>
    </row>
    <row r="29" spans="1:14" x14ac:dyDescent="0.25">
      <c r="M29" s="7"/>
      <c r="N29" s="7"/>
    </row>
    <row r="30" spans="1:14" x14ac:dyDescent="0.25">
      <c r="B30" s="7" t="s">
        <v>34</v>
      </c>
    </row>
    <row r="31" spans="1:14" x14ac:dyDescent="0.25">
      <c r="A31" s="7">
        <v>1</v>
      </c>
      <c r="B31" s="7" t="s">
        <v>35</v>
      </c>
    </row>
    <row r="32" spans="1:14" x14ac:dyDescent="0.25">
      <c r="A32" s="7">
        <f>+A31+1</f>
        <v>2</v>
      </c>
      <c r="B32" s="7" t="s">
        <v>39</v>
      </c>
    </row>
    <row r="33" spans="1:2" x14ac:dyDescent="0.25">
      <c r="A33" s="7">
        <f t="shared" ref="A33:A37" si="6">+A32+1</f>
        <v>3</v>
      </c>
      <c r="B33" s="7" t="s">
        <v>38</v>
      </c>
    </row>
    <row r="34" spans="1:2" x14ac:dyDescent="0.25">
      <c r="A34" s="7">
        <f t="shared" si="6"/>
        <v>4</v>
      </c>
      <c r="B34" s="7" t="s">
        <v>36</v>
      </c>
    </row>
    <row r="35" spans="1:2" x14ac:dyDescent="0.25">
      <c r="A35" s="7">
        <f t="shared" si="6"/>
        <v>5</v>
      </c>
      <c r="B35" s="7" t="s">
        <v>40</v>
      </c>
    </row>
    <row r="36" spans="1:2" x14ac:dyDescent="0.25">
      <c r="A36" s="7">
        <f t="shared" si="6"/>
        <v>6</v>
      </c>
      <c r="B36" s="7" t="s">
        <v>41</v>
      </c>
    </row>
    <row r="37" spans="1:2" x14ac:dyDescent="0.25">
      <c r="A37" s="7">
        <f t="shared" si="6"/>
        <v>7</v>
      </c>
      <c r="B37" s="7" t="s">
        <v>37</v>
      </c>
    </row>
  </sheetData>
  <mergeCells count="2">
    <mergeCell ref="B1:G1"/>
    <mergeCell ref="B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9B99-EA7B-4FF5-83C0-04F7B74C886F}">
  <dimension ref="A1:N37"/>
  <sheetViews>
    <sheetView showGridLines="0" zoomScaleNormal="100" workbookViewId="0">
      <selection activeCell="C6" sqref="C6"/>
    </sheetView>
  </sheetViews>
  <sheetFormatPr defaultColWidth="9.140625" defaultRowHeight="15" x14ac:dyDescent="0.25"/>
  <cols>
    <col min="1" max="1" width="9.140625" style="7"/>
    <col min="2" max="2" width="48.5703125" style="7" bestFit="1" customWidth="1"/>
    <col min="3" max="6" width="11.7109375" style="7" bestFit="1" customWidth="1"/>
    <col min="7" max="7" width="13.42578125" style="7" bestFit="1" customWidth="1"/>
    <col min="8" max="8" width="9.140625" style="7"/>
    <col min="9" max="9" width="13.85546875" style="7" bestFit="1" customWidth="1"/>
    <col min="10" max="10" width="14.28515625" style="7" bestFit="1" customWidth="1"/>
    <col min="11" max="11" width="12.5703125" style="7" bestFit="1" customWidth="1"/>
    <col min="12" max="12" width="9.140625" style="7"/>
    <col min="15" max="16384" width="9.140625" style="7"/>
  </cols>
  <sheetData>
    <row r="1" spans="2:14" ht="15.75" thickBot="1" x14ac:dyDescent="0.3">
      <c r="B1" s="42" t="s">
        <v>31</v>
      </c>
      <c r="C1" s="43"/>
      <c r="D1" s="43"/>
      <c r="E1" s="43"/>
      <c r="F1" s="43"/>
      <c r="G1" s="44"/>
      <c r="M1" s="7"/>
      <c r="N1" s="7"/>
    </row>
    <row r="2" spans="2:14" ht="15.75" thickBot="1" x14ac:dyDescent="0.3">
      <c r="B2" s="40"/>
      <c r="C2" s="41"/>
      <c r="D2" s="41"/>
      <c r="E2" s="41"/>
      <c r="F2" s="41"/>
      <c r="G2" s="41"/>
      <c r="M2" s="7"/>
      <c r="N2" s="7"/>
    </row>
    <row r="3" spans="2:14" ht="15.75" thickBot="1" x14ac:dyDescent="0.3">
      <c r="B3" s="42" t="s">
        <v>26</v>
      </c>
      <c r="C3" s="44"/>
      <c r="M3" s="7"/>
      <c r="N3" s="7"/>
    </row>
    <row r="4" spans="2:14" x14ac:dyDescent="0.25">
      <c r="B4" s="29" t="s">
        <v>25</v>
      </c>
      <c r="C4" s="19">
        <v>5000000</v>
      </c>
      <c r="M4" s="7"/>
      <c r="N4" s="7"/>
    </row>
    <row r="5" spans="2:14" ht="14.45" customHeight="1" x14ac:dyDescent="0.25">
      <c r="B5" s="26" t="s">
        <v>21</v>
      </c>
      <c r="C5" s="13">
        <v>0.01</v>
      </c>
      <c r="D5" s="8"/>
      <c r="E5" s="8"/>
      <c r="F5" s="8"/>
      <c r="G5" s="8"/>
      <c r="M5" s="7"/>
      <c r="N5" s="7"/>
    </row>
    <row r="6" spans="2:14" x14ac:dyDescent="0.25">
      <c r="B6" s="35" t="s">
        <v>22</v>
      </c>
      <c r="C6" s="21">
        <v>0.25</v>
      </c>
      <c r="D6" s="8"/>
      <c r="E6" s="8"/>
      <c r="F6" s="8"/>
      <c r="G6" s="8"/>
      <c r="M6" s="7"/>
      <c r="N6" s="7"/>
    </row>
    <row r="7" spans="2:14" x14ac:dyDescent="0.25">
      <c r="B7" s="26" t="s">
        <v>15</v>
      </c>
      <c r="C7" s="22">
        <v>15</v>
      </c>
      <c r="M7" s="7"/>
      <c r="N7" s="7"/>
    </row>
    <row r="8" spans="2:14" ht="15.75" thickBot="1" x14ac:dyDescent="0.3">
      <c r="B8" s="32" t="s">
        <v>17</v>
      </c>
      <c r="C8" s="20">
        <v>10</v>
      </c>
      <c r="M8" s="7"/>
      <c r="N8" s="7"/>
    </row>
    <row r="9" spans="2:14" ht="15.75" thickBot="1" x14ac:dyDescent="0.3">
      <c r="B9" s="36"/>
      <c r="C9" s="23"/>
      <c r="M9" s="7"/>
      <c r="N9" s="7"/>
    </row>
    <row r="10" spans="2:14" ht="15.75" thickBot="1" x14ac:dyDescent="0.3">
      <c r="B10" s="37" t="s">
        <v>33</v>
      </c>
      <c r="C10" s="24">
        <v>-0.27810000000000001</v>
      </c>
      <c r="D10" s="24">
        <v>0.82699999999999996</v>
      </c>
      <c r="E10" s="24">
        <v>0.19259999999999999</v>
      </c>
      <c r="F10" s="24">
        <v>-3.5099999999999999E-2</v>
      </c>
      <c r="G10" s="25">
        <v>0.3795</v>
      </c>
      <c r="M10" s="7"/>
      <c r="N10" s="7"/>
    </row>
    <row r="11" spans="2:14" ht="15.75" thickBot="1" x14ac:dyDescent="0.3">
      <c r="C11" s="9"/>
      <c r="M11" s="7"/>
      <c r="N11" s="7"/>
    </row>
    <row r="12" spans="2:14" x14ac:dyDescent="0.25">
      <c r="B12" s="29" t="s">
        <v>1</v>
      </c>
      <c r="C12" s="30">
        <v>1</v>
      </c>
      <c r="D12" s="30">
        <f>+C12+1</f>
        <v>2</v>
      </c>
      <c r="E12" s="30">
        <f t="shared" ref="E12:G12" si="0">+D12+1</f>
        <v>3</v>
      </c>
      <c r="F12" s="30">
        <f t="shared" si="0"/>
        <v>4</v>
      </c>
      <c r="G12" s="31">
        <f t="shared" si="0"/>
        <v>5</v>
      </c>
      <c r="M12" s="7"/>
      <c r="N12" s="7"/>
    </row>
    <row r="13" spans="2:14" ht="15.75" thickBot="1" x14ac:dyDescent="0.3">
      <c r="B13" s="32" t="s">
        <v>13</v>
      </c>
      <c r="C13" s="33">
        <f>+C10+10%</f>
        <v>-0.17810000000000001</v>
      </c>
      <c r="D13" s="33">
        <f>+D10+10%</f>
        <v>0.92699999999999994</v>
      </c>
      <c r="E13" s="33">
        <f>+E10+10%</f>
        <v>0.29259999999999997</v>
      </c>
      <c r="F13" s="33">
        <f>+F10+10%</f>
        <v>6.4900000000000013E-2</v>
      </c>
      <c r="G13" s="34">
        <f>+G10+10%</f>
        <v>0.47950000000000004</v>
      </c>
      <c r="M13" s="7"/>
      <c r="N13" s="7"/>
    </row>
    <row r="14" spans="2:14" x14ac:dyDescent="0.25">
      <c r="B14" s="38" t="s">
        <v>18</v>
      </c>
      <c r="C14" s="17">
        <f>C4</f>
        <v>5000000</v>
      </c>
      <c r="D14" s="17">
        <f>+C27</f>
        <v>4052679.4937499999</v>
      </c>
      <c r="E14" s="17">
        <f t="shared" ref="E14:G14" si="1">+D27</f>
        <v>7451676.0668657525</v>
      </c>
      <c r="F14" s="17">
        <f t="shared" si="1"/>
        <v>9325363.9912421517</v>
      </c>
      <c r="G14" s="18">
        <f t="shared" si="1"/>
        <v>9620406.5940642506</v>
      </c>
      <c r="J14" s="11"/>
      <c r="M14" s="7"/>
      <c r="N14" s="7"/>
    </row>
    <row r="15" spans="2:14" x14ac:dyDescent="0.25">
      <c r="B15" s="26" t="s">
        <v>3</v>
      </c>
      <c r="C15" s="10">
        <f>+C14*C13</f>
        <v>-890500</v>
      </c>
      <c r="D15" s="10">
        <f>+D14*D13</f>
        <v>3756833.8907062495</v>
      </c>
      <c r="E15" s="10">
        <f>+E14*E13</f>
        <v>2180360.417164919</v>
      </c>
      <c r="F15" s="10">
        <f>+F14*F13</f>
        <v>605216.12303161575</v>
      </c>
      <c r="G15" s="12">
        <f>+G14*G13</f>
        <v>4612984.9618538087</v>
      </c>
      <c r="J15" s="11"/>
      <c r="M15" s="7"/>
      <c r="N15" s="7"/>
    </row>
    <row r="16" spans="2:14" x14ac:dyDescent="0.25">
      <c r="B16" s="26" t="s">
        <v>19</v>
      </c>
      <c r="C16" s="10">
        <f>SUM(C14:C15)</f>
        <v>4109500</v>
      </c>
      <c r="D16" s="10">
        <f t="shared" ref="D16:G16" si="2">SUM(D14:D15)</f>
        <v>7809513.384456249</v>
      </c>
      <c r="E16" s="10">
        <f t="shared" si="2"/>
        <v>9632036.4840306714</v>
      </c>
      <c r="F16" s="10">
        <f t="shared" si="2"/>
        <v>9930580.1142737679</v>
      </c>
      <c r="G16" s="12">
        <f t="shared" si="2"/>
        <v>14233391.55591806</v>
      </c>
      <c r="J16" s="11"/>
      <c r="M16" s="7"/>
      <c r="N16" s="7"/>
    </row>
    <row r="17" spans="1:14" x14ac:dyDescent="0.25">
      <c r="B17" s="35" t="s">
        <v>27</v>
      </c>
      <c r="C17" s="10">
        <f>AVERAGE(C14,C16)</f>
        <v>4554750</v>
      </c>
      <c r="D17" s="10">
        <f>AVERAGE(D14,D16)</f>
        <v>5931096.4391031247</v>
      </c>
      <c r="E17" s="10">
        <f>AVERAGE(E14,E16)</f>
        <v>8541856.2754482124</v>
      </c>
      <c r="F17" s="10">
        <f>AVERAGE(F14,F16)</f>
        <v>9627972.0527579598</v>
      </c>
      <c r="G17" s="12">
        <f>AVERAGE(G14,G16)</f>
        <v>11926899.074991155</v>
      </c>
      <c r="J17" s="11"/>
      <c r="M17" s="7"/>
      <c r="N17" s="7"/>
    </row>
    <row r="18" spans="1:14" x14ac:dyDescent="0.25">
      <c r="B18" s="26" t="s">
        <v>14</v>
      </c>
      <c r="C18" s="10">
        <f t="shared" ref="C18:G18" si="3">C17*$C$7/10000</f>
        <v>6832.125</v>
      </c>
      <c r="D18" s="10">
        <f t="shared" si="3"/>
        <v>8896.6446586546863</v>
      </c>
      <c r="E18" s="10">
        <f t="shared" si="3"/>
        <v>12812.784413172318</v>
      </c>
      <c r="F18" s="10">
        <f t="shared" si="3"/>
        <v>14441.958079136941</v>
      </c>
      <c r="G18" s="12">
        <f t="shared" si="3"/>
        <v>17890.34861248673</v>
      </c>
      <c r="J18" s="11"/>
      <c r="M18" s="7"/>
      <c r="N18" s="7"/>
    </row>
    <row r="19" spans="1:14" x14ac:dyDescent="0.25">
      <c r="B19" s="26" t="s">
        <v>20</v>
      </c>
      <c r="C19" s="10">
        <f>C17*$C$8/10000</f>
        <v>4554.75</v>
      </c>
      <c r="D19" s="10">
        <f>D14*$C$8/10000</f>
        <v>4052.6794937499999</v>
      </c>
      <c r="E19" s="10">
        <f>E14*$C$8/10000</f>
        <v>7451.6760668657525</v>
      </c>
      <c r="F19" s="10">
        <f>F14*$C$8/10000</f>
        <v>9325.3639912421531</v>
      </c>
      <c r="G19" s="12">
        <f>G14*$C$8/10000</f>
        <v>9620.4065940642504</v>
      </c>
      <c r="J19" s="11"/>
      <c r="M19" s="7"/>
      <c r="N19" s="7"/>
    </row>
    <row r="20" spans="1:14" x14ac:dyDescent="0.25">
      <c r="B20" s="26" t="s">
        <v>28</v>
      </c>
      <c r="C20" s="27">
        <f>(C17-C18-C19)*$C$5</f>
        <v>45433.631249999999</v>
      </c>
      <c r="D20" s="27">
        <f t="shared" ref="D20:G20" si="4">(D17-D18-D19)*$C$5</f>
        <v>59181.471149507197</v>
      </c>
      <c r="E20" s="27">
        <f t="shared" si="4"/>
        <v>85215.918149681747</v>
      </c>
      <c r="F20" s="27">
        <f t="shared" si="4"/>
        <v>96042.047306875815</v>
      </c>
      <c r="G20" s="28">
        <f t="shared" si="4"/>
        <v>118993.88319784604</v>
      </c>
      <c r="M20" s="7"/>
      <c r="N20" s="7"/>
    </row>
    <row r="21" spans="1:14" x14ac:dyDescent="0.25">
      <c r="B21" s="39" t="s">
        <v>23</v>
      </c>
      <c r="C21" s="10">
        <f>SUM(C14:C15)-SUM(C18:C20)</f>
        <v>4052679.4937499999</v>
      </c>
      <c r="D21" s="10">
        <f>SUM(D14:D15)-SUM(D18:D20)</f>
        <v>7737382.5891543366</v>
      </c>
      <c r="E21" s="10">
        <f>SUM(E14:E15)-SUM(E18:E20)</f>
        <v>9526556.1054009516</v>
      </c>
      <c r="F21" s="10">
        <f>SUM(F14:F15)-SUM(F18:F20)</f>
        <v>9810770.7448965125</v>
      </c>
      <c r="G21" s="12">
        <f>SUM(G14:G15)-SUM(G18:G20)</f>
        <v>14086886.917513663</v>
      </c>
      <c r="M21" s="7"/>
      <c r="N21" s="7"/>
    </row>
    <row r="22" spans="1:14" x14ac:dyDescent="0.25">
      <c r="B22" s="26" t="s">
        <v>5</v>
      </c>
      <c r="C22" s="10">
        <f>C4*(1+C$10)</f>
        <v>3609500</v>
      </c>
      <c r="D22" s="10">
        <f>C22*(1+D$10)</f>
        <v>6594556.5</v>
      </c>
      <c r="E22" s="10">
        <f>D22*(1+E$10)</f>
        <v>7864668.0819000006</v>
      </c>
      <c r="F22" s="10">
        <f>E22*(1+F$10)</f>
        <v>7588618.2322253101</v>
      </c>
      <c r="G22" s="12">
        <f>F22*(1+G$10)</f>
        <v>10468498.851354815</v>
      </c>
      <c r="M22" s="7"/>
      <c r="N22" s="7"/>
    </row>
    <row r="23" spans="1:14" x14ac:dyDescent="0.25">
      <c r="B23" s="26" t="s">
        <v>32</v>
      </c>
      <c r="C23" s="6">
        <f>MAX(C14,C22)</f>
        <v>5000000</v>
      </c>
      <c r="D23" s="6">
        <f>MAX(D27,C23)</f>
        <v>7451676.0668657525</v>
      </c>
      <c r="E23" s="6">
        <f>MAX(E27,D23)</f>
        <v>9325363.9912421517</v>
      </c>
      <c r="F23" s="6">
        <f>MAX(F27,E23)</f>
        <v>9620406.5940642506</v>
      </c>
      <c r="G23" s="14">
        <f>MAX(G27,F23)</f>
        <v>13690236.991433686</v>
      </c>
      <c r="M23" s="7"/>
      <c r="N23" s="7"/>
    </row>
    <row r="24" spans="1:14" x14ac:dyDescent="0.25">
      <c r="B24" s="26" t="s">
        <v>24</v>
      </c>
      <c r="C24" s="10">
        <f>+MAX(C21-C22,0)</f>
        <v>443179.49374999991</v>
      </c>
      <c r="D24" s="10">
        <f>+D21-D22+C25</f>
        <v>1142826.0891543366</v>
      </c>
      <c r="E24" s="10">
        <f>+E21-E22+SUM($C$25:D25)</f>
        <v>1947594.5457895352</v>
      </c>
      <c r="F24" s="10">
        <f>+F21-F22+SUM($C$25:E25)</f>
        <v>2709051.1491185864</v>
      </c>
      <c r="G24" s="12">
        <f>+G21-G22+SUM($C$25:F25)</f>
        <v>4295650.8534384947</v>
      </c>
      <c r="I24" s="11"/>
      <c r="K24" s="11"/>
      <c r="M24" s="7"/>
      <c r="N24" s="7"/>
    </row>
    <row r="25" spans="1:14" x14ac:dyDescent="0.25">
      <c r="B25" s="26" t="s">
        <v>29</v>
      </c>
      <c r="C25" s="27">
        <f>+MAX(MIN(C24*25%,MAX(C21-C14,0)),0)</f>
        <v>0</v>
      </c>
      <c r="D25" s="27">
        <f>+MAX(MIN(D24*$C$6-SUM($C$25:C25),MAX(D21-C23,0)),0)</f>
        <v>285706.52228858415</v>
      </c>
      <c r="E25" s="27">
        <f>+MAX(MIN(E24*$C$6-SUM($C$25:D25),MAX(E21-D23,0)),0)</f>
        <v>201192.11415879964</v>
      </c>
      <c r="F25" s="27">
        <f>+MAX(MIN(F24*$C$6-SUM($C$25:E25),MAX(F21-E23,0)),0)</f>
        <v>190364.15083226282</v>
      </c>
      <c r="G25" s="28">
        <f>+MAX(MIN(G24*$C$6-SUM($C$25:F25),MAX(G21-F23,0)),0)</f>
        <v>396649.92607997707</v>
      </c>
      <c r="I25" s="11"/>
      <c r="K25" s="11"/>
      <c r="M25" s="7"/>
      <c r="N25" s="7"/>
    </row>
    <row r="26" spans="1:14" x14ac:dyDescent="0.25">
      <c r="B26" s="26" t="s">
        <v>16</v>
      </c>
      <c r="C26" s="27">
        <f>C25+C20</f>
        <v>45433.631249999999</v>
      </c>
      <c r="D26" s="27">
        <f>D25+D20</f>
        <v>344887.99343809136</v>
      </c>
      <c r="E26" s="27">
        <f>E25+E20</f>
        <v>286408.0323084814</v>
      </c>
      <c r="F26" s="27">
        <f>F25+F20</f>
        <v>286406.19813913864</v>
      </c>
      <c r="G26" s="28">
        <f>G25+G20</f>
        <v>515643.80927782308</v>
      </c>
      <c r="I26" s="11"/>
      <c r="M26" s="7"/>
      <c r="N26" s="7"/>
    </row>
    <row r="27" spans="1:14" x14ac:dyDescent="0.25">
      <c r="B27" s="26" t="s">
        <v>7</v>
      </c>
      <c r="C27" s="10">
        <f>+C21-C25</f>
        <v>4052679.4937499999</v>
      </c>
      <c r="D27" s="10">
        <f>+D21-D25</f>
        <v>7451676.0668657525</v>
      </c>
      <c r="E27" s="10">
        <f>+E21-E25</f>
        <v>9325363.9912421517</v>
      </c>
      <c r="F27" s="10">
        <f>+F21-F25</f>
        <v>9620406.5940642506</v>
      </c>
      <c r="G27" s="12">
        <f>+G21-G25</f>
        <v>13690236.991433686</v>
      </c>
      <c r="I27" s="11"/>
      <c r="M27" s="7"/>
      <c r="N27" s="7"/>
    </row>
    <row r="28" spans="1:14" ht="15.75" thickBot="1" x14ac:dyDescent="0.3">
      <c r="B28" s="32" t="s">
        <v>30</v>
      </c>
      <c r="C28" s="15">
        <f>+C27/C14-1</f>
        <v>-0.18946410125000002</v>
      </c>
      <c r="D28" s="15">
        <f>+D27/D14-1</f>
        <v>0.83870352401606141</v>
      </c>
      <c r="E28" s="15">
        <f>+E27/E14-1</f>
        <v>0.25144516583428067</v>
      </c>
      <c r="F28" s="15">
        <f>+F27/F14-1</f>
        <v>3.1638722424045529E-2</v>
      </c>
      <c r="G28" s="16">
        <f>+G27/G14-1</f>
        <v>0.42304141281102425</v>
      </c>
      <c r="I28" s="11"/>
      <c r="M28" s="7"/>
      <c r="N28" s="7"/>
    </row>
    <row r="29" spans="1:14" x14ac:dyDescent="0.25">
      <c r="M29" s="7"/>
      <c r="N29" s="7"/>
    </row>
    <row r="30" spans="1:14" x14ac:dyDescent="0.25">
      <c r="B30" s="7" t="s">
        <v>34</v>
      </c>
    </row>
    <row r="31" spans="1:14" x14ac:dyDescent="0.25">
      <c r="A31" s="7">
        <v>1</v>
      </c>
      <c r="B31" s="7" t="s">
        <v>35</v>
      </c>
    </row>
    <row r="32" spans="1:14" x14ac:dyDescent="0.25">
      <c r="A32" s="7">
        <f>+A31+1</f>
        <v>2</v>
      </c>
      <c r="B32" s="7" t="s">
        <v>39</v>
      </c>
    </row>
    <row r="33" spans="1:2" x14ac:dyDescent="0.25">
      <c r="A33" s="7">
        <f t="shared" ref="A33:A37" si="5">+A32+1</f>
        <v>3</v>
      </c>
      <c r="B33" s="7" t="s">
        <v>38</v>
      </c>
    </row>
    <row r="34" spans="1:2" x14ac:dyDescent="0.25">
      <c r="A34" s="7">
        <f t="shared" si="5"/>
        <v>4</v>
      </c>
      <c r="B34" s="7" t="s">
        <v>36</v>
      </c>
    </row>
    <row r="35" spans="1:2" x14ac:dyDescent="0.25">
      <c r="A35" s="7">
        <f t="shared" si="5"/>
        <v>5</v>
      </c>
      <c r="B35" s="7" t="s">
        <v>40</v>
      </c>
    </row>
    <row r="36" spans="1:2" x14ac:dyDescent="0.25">
      <c r="A36" s="7">
        <f t="shared" si="5"/>
        <v>6</v>
      </c>
      <c r="B36" s="7" t="s">
        <v>41</v>
      </c>
    </row>
    <row r="37" spans="1:2" x14ac:dyDescent="0.25">
      <c r="A37" s="7">
        <f t="shared" si="5"/>
        <v>7</v>
      </c>
      <c r="B37" s="7" t="s">
        <v>37</v>
      </c>
    </row>
  </sheetData>
  <mergeCells count="2">
    <mergeCell ref="B1:G1"/>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6a0980-7a51-4c9c-91c0-032850369c05">
      <Terms xmlns="http://schemas.microsoft.com/office/infopath/2007/PartnerControls"/>
    </lcf76f155ced4ddcb4097134ff3c332f>
    <TaxCatchAll xmlns="031f7b35-35a8-4288-a9fc-13fc3394a6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F658CFCA1C2444B3A41FBEDE590EF1" ma:contentTypeVersion="15" ma:contentTypeDescription="Create a new document." ma:contentTypeScope="" ma:versionID="47fb2082d1c1bc8e19b81f470c6d502c">
  <xsd:schema xmlns:xsd="http://www.w3.org/2001/XMLSchema" xmlns:xs="http://www.w3.org/2001/XMLSchema" xmlns:p="http://schemas.microsoft.com/office/2006/metadata/properties" xmlns:ns2="1c6a0980-7a51-4c9c-91c0-032850369c05" xmlns:ns3="031f7b35-35a8-4288-a9fc-13fc3394a6b1" targetNamespace="http://schemas.microsoft.com/office/2006/metadata/properties" ma:root="true" ma:fieldsID="c7ce6785c0261bd6092b83dbb4f7f58b" ns2:_="" ns3:_="">
    <xsd:import namespace="1c6a0980-7a51-4c9c-91c0-032850369c05"/>
    <xsd:import namespace="031f7b35-35a8-4288-a9fc-13fc3394a6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a0980-7a51-4c9c-91c0-032850369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bb7a4f7-5c1b-4f5d-9bda-ed4f527c386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f7b35-35a8-4288-a9fc-13fc3394a6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1be328-53cc-411c-8431-0562e110e4d4}" ma:internalName="TaxCatchAll" ma:showField="CatchAllData" ma:web="031f7b35-35a8-4288-a9fc-13fc3394a6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A6F91-C105-409E-9ED0-18B7240B17EC}">
  <ds:schemaRefs>
    <ds:schemaRef ds:uri="http://schemas.microsoft.com/office/2006/metadata/properties"/>
    <ds:schemaRef ds:uri="http://schemas.microsoft.com/office/infopath/2007/PartnerControls"/>
    <ds:schemaRef ds:uri="1c6a0980-7a51-4c9c-91c0-032850369c05"/>
    <ds:schemaRef ds:uri="031f7b35-35a8-4288-a9fc-13fc3394a6b1"/>
  </ds:schemaRefs>
</ds:datastoreItem>
</file>

<file path=customXml/itemProps2.xml><?xml version="1.0" encoding="utf-8"?>
<ds:datastoreItem xmlns:ds="http://schemas.openxmlformats.org/officeDocument/2006/customXml" ds:itemID="{3B535FF2-79E8-4815-A868-F7EA1BB6E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a0980-7a51-4c9c-91c0-032850369c05"/>
    <ds:schemaRef ds:uri="031f7b35-35a8-4288-a9fc-13fc3394a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B98C6-6675-465F-A72B-E9A8074D1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Coffee Can fees</vt:lpstr>
      <vt:lpstr>Hurdle 10%</vt:lpstr>
      <vt:lpstr>Hurdle BSE500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sumitb</dc:creator>
  <cp:lastModifiedBy>Harkirat Dhiman</cp:lastModifiedBy>
  <dcterms:created xsi:type="dcterms:W3CDTF">2018-04-13T09:28:43Z</dcterms:created>
  <dcterms:modified xsi:type="dcterms:W3CDTF">2025-04-29T06:39:54Z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0x01010072F658CFCA1C2444B3A41FBEDE590EF1</vt:lpwstr>
  </property>
  <property fmtid="{D5CDD505-2E9C-101B-9397-08002B2CF9AE}" pid="3" name="MediaServiceImageTags">
    <vt:lpwstr/>
  </property>
</Properties>
</file>